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D482B43E-42CF-4A84-97A7-CAEC0F6EEABC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<sst xmlns="http://schemas.openxmlformats.org/spreadsheetml/2006/main" count="287" uniqueCount="202">
  <si>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</si>
  <si>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</si>
  <si>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</si>
  <si>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</si>
  <si>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</si>
  <si>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</si>
  <si>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</si>
  <si>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</si>
  <si>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</si>
  <si>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</si>
  <si>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</si>
  <si>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</si>
  <si>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</si>
  <si>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</si>
  <si>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</si>
  <si>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</si>
  <si>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</si>
  <si>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</si>
  <si>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</si>
  <si>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</si>
  <si>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</si>
  <si>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</si>
  <si>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</si>
  <si>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</si>
  <si>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</si>
  <si>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</si>
  <si>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</si>
  <si>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</si>
  <si>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</si>
  <si>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</si>
  <si>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</si>
  <si>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</si>
  <si>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</si>
  <si>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</si>
  <si>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</si>
  <si>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</si>
  <si>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</si>
  <si>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</si>
  <si>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</si>
  <si>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</si>
  <si>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</si>
  <si>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</si>
  <si>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</si>
  <si>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</si>
  <si>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</si>
  <si>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</si>
  <si>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</si>
  <si>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</si>
  <si>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</si>
  <si>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</si>
  <si>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</si>
  <si>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</si>
  <si>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</si>
  <si>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</si>
  <si>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</si>
  <si>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</si>
  <si>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</si>
  <si>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</si>
  <si>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</si>
  <si>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</si>
  <si>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</si>
  <si>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</si>
  <si>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</si>
  <si>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</si>
  <si>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</si>
  <si>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</si>
  <si>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</si>
  <si>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</si>
  <si>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</si>
  <si>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</si>
  <si>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</si>
  <si>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</si>
  <si>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</si>
  <si>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</si>
  <si>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</si>
  <si>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</si>
  <si>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</si>
  <si>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</si>
  <si>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</si>
  <si>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</si>
  <si>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</si>
  <si>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</si>
  <si>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</si>
  <si>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</si>
  <si>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</si>
  <si>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</si>
  <si>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</si>
  <si>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</si>
  <si>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</si>
  <si>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</si>
  <si>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</si>
  <si>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</si>
  <si>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</si>
  <si>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</si>
  <si>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</si>
  <si>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</si>
  <si>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</si>
  <si>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</si>
  <si>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</si>
  <si>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</si>
  <si>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</si>
  <si>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</si>
  <si>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</si>
  <si>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</si>
  <si>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</si>
  <si>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</si>
  <si>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</si>
  <si>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</si>
  <si>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</si>
  <si>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</si>
  <si>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</si>
  <si>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</si>
  <si>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</si>
  <si>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</si>
  <si>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</si>
  <si>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</si>
  <si>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</si>
  <si>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</si>
  <si>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</si>
  <si>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</si>
  <si>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</si>
  <si>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</si>
  <si>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</si>
  <si>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</si>
  <si>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</si>
  <si>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</si>
  <si>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</si>
  <si>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</si>
  <si>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</si>
  <si>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</si>
  <si>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</si>
  <si>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</si>
  <si>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</si>
  <si>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</si>
  <si>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</si>
  <si>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</si>
  <si>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</si>
  <si>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</si>
  <si>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</si>
  <si>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</si>
  <si>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</si>
  <si>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</si>
  <si>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</si>
  <si>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</si>
  <si>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</si>
  <si>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</si>
  <si>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</si>
  <si>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</si>
  <si>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</si>
  <si>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</si>
  <si>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</si>
  <si>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</si>
  <si>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</si>
  <si>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</si>
  <si>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</si>
  <si>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</si>
  <si>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</si>
  <si>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</si>
  <si>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</si>
  <si>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</si>
  <si>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</si>
  <si>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</si>
  <si>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</si>
  <si>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</si>
  <si>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</si>
  <si>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</si>
  <si>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</si>
  <si>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</si>
  <si>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</si>
  <si>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</si>
  <si>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</si>
  <si>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</si>
  <si>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</si>
  <si>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</si>
  <si>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</si>
  <si>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</si>
  <si>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</si>
  <si>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</si>
  <si>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</si>
  <si>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</si>
  <si>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</si>
  <si>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</si>
  <si>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</si>
  <si>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</si>
  <si>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</si>
  <si>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</si>
  <si>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</si>
  <si>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</si>
  <si>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</si>
  <si>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</si>
  <si>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</si>
  <si>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Baiern</t>
  </si>
  <si>
    <t>Stand: 15.02.2023</t>
  </si>
  <si>
    <t>Die Gemeinde Baiern setzt sich folgende Ziele:</t>
  </si>
  <si>
    <t>Antholing</t>
  </si>
  <si>
    <t>Berganger</t>
  </si>
  <si>
    <t>Gailling</t>
  </si>
  <si>
    <t>Großrohrsdorf</t>
  </si>
  <si>
    <t>Jakobsbaiern</t>
  </si>
  <si>
    <t>Lindach</t>
  </si>
  <si>
    <t>Netterndorf</t>
  </si>
  <si>
    <t>Weidach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</si>
</sst>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10637</c:v>
                </c:pt>
                <c:pt idx="1">
                  <c:v>9826.3531914893611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9652.58</c:v>
                </c:pt>
                <c:pt idx="1">
                  <c:v>12936.732839889683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192.47</c:v>
                </c:pt>
                <c:pt idx="1">
                  <c:v>205.78662818675312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10248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10234</c:v>
                </c:pt>
                <c:pt idx="1">
                  <c:v>22968.872659565797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20482</c:v>
                </c:pt>
                <c:pt idx="1">
                  <c:v>22968.872659565797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1582.11</c:v>
                </c:pt>
                <c:pt idx="1">
                  <c:v>1254.5828681799394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1327.99</c:v>
                </c:pt>
                <c:pt idx="1">
                  <c:v>1489.6157013573925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163.41999999999999</c:v>
                </c:pt>
                <c:pt idx="1">
                  <c:v>111.86837638916127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3418.0927152317881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9097</c:v>
                </c:pt>
                <c:pt idx="1">
                  <c:v>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3085.65</c:v>
                </c:pt>
                <c:pt idx="1">
                  <c:v>6274.1596611582809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5512.5294382957909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22.969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20.482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12 %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22968.872659565797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22968.872659565797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22968.872659565797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10637</v>
      </c>
      <c r="E78" s="177">
        <f>LOOKUP('Basis-Annahmen'!E5,'Nachfrage &amp; Erzeugung'!D36:G36,'Nachfrage &amp; Erzeugung'!D38:G38)</f>
        <v>9826.3531914893611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9652.58</v>
      </c>
      <c r="E79" s="177">
        <f>LOOKUP('Basis-Annahmen'!E5,'Nachfrage &amp; Erzeugung'!D36:G36,'Nachfrage &amp; Erzeugung'!D39:G39)</f>
        <v>12936.732839889683</v>
      </c>
      <c r="F79" s="175"/>
      <c r="G79" s="176" t="s">
        <v>55</v>
      </c>
      <c r="H79" s="177">
        <f>'Nachfrage &amp; Erzeugung'!C46</f>
        <v>10248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192.47</v>
      </c>
      <c r="E80" s="177">
        <f>LOOKUP('Basis-Annahmen'!E5,'Nachfrage &amp; Erzeugung'!D36:G36,'Nachfrage &amp; Erzeugung'!D40:G40)</f>
        <v>205.78662818675312</v>
      </c>
      <c r="F80" s="175"/>
      <c r="G80" s="176" t="str">
        <f>'Nachfrage &amp; Erzeugung'!B47</f>
        <v>Nicht erneuerbare Wärmeerzeugung</v>
      </c>
      <c r="H80" s="177">
        <f>MAX(0,H82-H79)</f>
        <v>10234</v>
      </c>
      <c r="I80" s="177">
        <f>MAX(0,I82-I79)</f>
        <v>22968.872659565797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20482</v>
      </c>
      <c r="E82" s="177">
        <f>LOOKUP('Basis-Annahmen'!E5,'Nachfrage &amp; Erzeugung'!D36:G36,'Nachfrage &amp; Erzeugung'!D37:G37)</f>
        <v>22968.872659565797</v>
      </c>
      <c r="F82" s="175"/>
      <c r="G82" s="176" t="s">
        <v>82</v>
      </c>
      <c r="H82" s="177">
        <f>'Nachfrage &amp; Erzeugung'!C37</f>
        <v>20482</v>
      </c>
      <c r="I82" s="177">
        <f>LOOKUP('Basis-Annahmen'!E5,'Nachfrage &amp; Erzeugung'!D36:G36,'Nachfrage &amp; Erzeugung'!D37:G37)</f>
        <v>22968.872659565797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0.12141747190537043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6.274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103 %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54 %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135000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13274.55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0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9097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9097</v>
      </c>
      <c r="G32" s="256"/>
      <c r="H32" s="248">
        <f>SUM(H27:H31)</f>
        <v>148274.54999999999</v>
      </c>
      <c r="I32" s="248"/>
      <c r="J32" s="245">
        <f>IF(H32&gt;0,F32/H32,0)</f>
        <v>6.1352403362546042E-2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1582.11</v>
      </c>
      <c r="E76" s="186">
        <f>LOOKUP('Basis-Annahmen'!E5,'Nachfrage &amp; Erzeugung'!D9:G9,'Nachfrage &amp; Erzeugung'!D11:G11)</f>
        <v>1254.5828681799394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1327.99</v>
      </c>
      <c r="E77" s="186">
        <f>LOOKUP('Basis-Annahmen'!E5,'Nachfrage &amp; Erzeugung'!D9:G9,'Nachfrage &amp; Erzeugung'!D12:G12)</f>
        <v>1489.6157013573925</v>
      </c>
      <c r="F77" s="175"/>
      <c r="G77" s="176" t="s">
        <v>103</v>
      </c>
      <c r="H77" s="186">
        <f>'Nachfrage &amp; Erzeugung'!C21</f>
        <v>9097</v>
      </c>
      <c r="I77" s="186">
        <f>F31</f>
        <v>9097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163.41999999999999</v>
      </c>
      <c r="E78" s="186">
        <f>LOOKUP('Basis-Annahmen'!E5,'Nachfrage &amp; Erzeugung'!D9:G9,'Nachfrage &amp; Erzeugung'!D13:G13)</f>
        <v>111.86837638916127</v>
      </c>
      <c r="F78" s="175"/>
      <c r="G78" s="176" t="str">
        <f>'Nachfrage &amp; Erzeugung'!B29</f>
        <v>Nicht aus lokalen EE gedeckter Strombedarf</v>
      </c>
      <c r="H78" s="186">
        <f>'Nachfrage &amp; Erzeugung'!C29</f>
        <v>0</v>
      </c>
      <c r="I78" s="186">
        <f>MAX(0,E82-SUM(I79:I82)-I77)</f>
        <v>0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3418.0927152317881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3085.65</v>
      </c>
      <c r="E82" s="186">
        <f>LOOKUP('Basis-Annahmen'!E5,'Nachfrage &amp; Erzeugung'!D9:G9,'Nachfrage &amp; Erzeugung'!D10:G10)</f>
        <v>6274.1596611582809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1.033334843925358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0.54478892789297773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1620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0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0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22968.872659565797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5512.5294382957909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3.4027959495653031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1.49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5512.5294382957909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3.4027959495653031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0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5512.5294382957909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1.0357815442561206E-2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5.6497175141242938E-3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1510</v>
      </c>
      <c r="F34" s="69">
        <v>1530</v>
      </c>
      <c r="G34" s="69">
        <v>1560</v>
      </c>
      <c r="H34" s="69">
        <v>1590</v>
      </c>
      <c r="I34" s="70">
        <v>1620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1.3245033112582781E-2</v>
      </c>
      <c r="G36" s="67">
        <f>(G34-F34)/F34</f>
        <v>1.9607843137254902E-2</v>
      </c>
      <c r="H36" s="67">
        <f>(H34-G34)/G34</f>
        <v>1.9230769230769232E-2</v>
      </c>
      <c r="I36" s="68">
        <f>(I34-H34)/H34</f>
        <v>1.8867924528301886E-2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47.021276595744681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0.70331125827814567</v>
      </c>
      <c r="F44" s="73">
        <f>E44*(1+(F13*(F43-E43)))</f>
        <v>0.70331125827814567</v>
      </c>
      <c r="G44" s="73">
        <f t="shared" ref="G44:I44" si="0">F44*(1+(G13*(G43-F43)))</f>
        <v>0.70331125827814567</v>
      </c>
      <c r="H44" s="73">
        <f t="shared" si="0"/>
        <v>0.70331125827814567</v>
      </c>
      <c r="I44" s="190">
        <f t="shared" si="0"/>
        <v>0.70331125827814567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1062</v>
      </c>
      <c r="F45" s="36">
        <f>F44*F34</f>
        <v>1076.0662251655629</v>
      </c>
      <c r="G45" s="36">
        <f t="shared" ref="G45:I45" si="1">G44*G34</f>
        <v>1097.1655629139073</v>
      </c>
      <c r="H45" s="36">
        <f t="shared" si="1"/>
        <v>1118.2649006622516</v>
      </c>
      <c r="I45" s="74">
        <f t="shared" si="1"/>
        <v>1139.364238410596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11</v>
      </c>
      <c r="F46" s="36">
        <f>F$45*F$14</f>
        <v>53.803311258278143</v>
      </c>
      <c r="G46" s="36">
        <f>G$45*G$14</f>
        <v>329.14966887417216</v>
      </c>
      <c r="H46" s="36">
        <f>H$45*H$14</f>
        <v>670.95894039735094</v>
      </c>
      <c r="I46" s="74">
        <f>I$45*I$14</f>
        <v>1139.364238410596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3085.65</v>
      </c>
      <c r="D10" s="94">
        <f>D11+D12+D13+D14+D15</f>
        <v>3078.3794995373128</v>
      </c>
      <c r="E10" s="94">
        <f>E11+E12+E13+E14+D15</f>
        <v>3876.3435896429855</v>
      </c>
      <c r="F10" s="94">
        <f>F11+F12+F13+F14+D15</f>
        <v>4881.4856587621689</v>
      </c>
      <c r="G10" s="95">
        <f>G11+G12+G13+G14+D15</f>
        <v>6274.1596611582809</v>
      </c>
      <c r="H10" s="14"/>
    </row>
    <row r="11" spans="1:8" ht="19.5" customHeight="1" x14ac:dyDescent="0.2">
      <c r="B11" s="88" t="s">
        <v>6</v>
      </c>
      <c r="C11" s="96">
        <v>1582.11</v>
      </c>
      <c r="D11" s="97">
        <f>C11/'Basis-Annahmen'!E34*((1-'Basis-Annahmen'!F19)^(D9-C9))*'Basis-Annahmen'!F34</f>
        <v>1486.38841447235</v>
      </c>
      <c r="E11" s="97">
        <f>D11/'Basis-Annahmen'!F34*((1-'Basis-Annahmen'!G19)^5)*'Basis-Annahmen'!G34</f>
        <v>1405.2274720556793</v>
      </c>
      <c r="F11" s="97">
        <f>E11/'Basis-Annahmen'!G34*((1-'Basis-Annahmen'!H19)^5)*'Basis-Annahmen'!H34</f>
        <v>1328.0068343919322</v>
      </c>
      <c r="G11" s="98">
        <f>F11/'Basis-Annahmen'!H34*((1-'Basis-Annahmen'!I19)^5)*'Basis-Annahmen'!I34</f>
        <v>1254.5828681799394</v>
      </c>
      <c r="H11" s="14"/>
    </row>
    <row r="12" spans="1:8" ht="19.5" customHeight="1" x14ac:dyDescent="0.2">
      <c r="B12" s="88" t="s">
        <v>104</v>
      </c>
      <c r="C12" s="96">
        <v>1327.99</v>
      </c>
      <c r="D12" s="97">
        <f>((1-'Basis-Annahmen'!F20)^(D9-C9))*((1+'Basis-Annahmen'!F9)^(D9-C9))*C12</f>
        <v>1290.2468368102345</v>
      </c>
      <c r="E12" s="97">
        <f>((1-'Basis-Annahmen'!G20)^5)*((1+'Basis-Annahmen'!G9)^5)*D12</f>
        <v>1353.5468187308652</v>
      </c>
      <c r="F12" s="97">
        <f>((1-'Basis-Annahmen'!H20)^5)*((1+'Basis-Annahmen'!H9)^5)*E12</f>
        <v>1419.9523209262504</v>
      </c>
      <c r="G12" s="98">
        <f>((1-'Basis-Annahmen'!I20)^5)*((1+'Basis-Annahmen'!I9)^5)*F12</f>
        <v>1489.6157013573925</v>
      </c>
      <c r="H12" s="14"/>
    </row>
    <row r="13" spans="1:8" ht="19.5" customHeight="1" x14ac:dyDescent="0.2">
      <c r="B13" s="88" t="s">
        <v>7</v>
      </c>
      <c r="C13" s="96">
        <v>163.41999999999999</v>
      </c>
      <c r="D13" s="97">
        <f>C13*((1-'Basis-Annahmen'!F20)^(D9-C9))</f>
        <v>140.33431447989398</v>
      </c>
      <c r="E13" s="97">
        <f>D13*((1-'Basis-Annahmen'!G20)^5)</f>
        <v>130.12029223392497</v>
      </c>
      <c r="F13" s="97">
        <f>E13*((1-'Basis-Annahmen'!H20)^5)</f>
        <v>120.64968225193292</v>
      </c>
      <c r="G13" s="98">
        <f>F13*((1-'Basis-Annahmen'!I20)^5)</f>
        <v>111.86837638916127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161.40993377483443</v>
      </c>
      <c r="E14" s="97">
        <f>'Basis-Annahmen'!G46*'Basis-Annahmen'!G51+'Basis-Annahmen'!G47*'Basis-Annahmen'!G52</f>
        <v>987.44900662251644</v>
      </c>
      <c r="F14" s="97">
        <f>'Basis-Annahmen'!H46*'Basis-Annahmen'!H51+'Basis-Annahmen'!H47*'Basis-Annahmen'!H52</f>
        <v>2012.8768211920528</v>
      </c>
      <c r="G14" s="98">
        <f>'Basis-Annahmen'!I46*'Basis-Annahmen'!I51+'Basis-Annahmen'!I47*'Basis-Annahmen'!I52</f>
        <v>3418.0927152317881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-2.3562297936212217E-3</v>
      </c>
      <c r="E16" s="101">
        <f>(E10-$C$10)/$C$10</f>
        <v>0.25624863145301163</v>
      </c>
      <c r="F16" s="101">
        <f t="shared" ref="F16" si="0">(F10-$C$10)/$C$10</f>
        <v>0.58199590321720507</v>
      </c>
      <c r="G16" s="102">
        <f>(G10-$C$10)/$C$10</f>
        <v>1.033334843925358</v>
      </c>
      <c r="H16" s="14"/>
    </row>
    <row r="17" spans="1:10" ht="19.5" customHeight="1" x14ac:dyDescent="0.2">
      <c r="B17" s="89" t="s">
        <v>97</v>
      </c>
      <c r="C17" s="107"/>
      <c r="D17" s="104">
        <f>D14/D10</f>
        <v>5.2433409785601383E-2</v>
      </c>
      <c r="E17" s="104">
        <f>E14/E10</f>
        <v>0.25473722434224705</v>
      </c>
      <c r="F17" s="104">
        <f>F14/F10</f>
        <v>0.41234922355635301</v>
      </c>
      <c r="G17" s="105">
        <f>G14/G10</f>
        <v>0.54478892789297773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9097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2305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1400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6792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0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20482</v>
      </c>
      <c r="D37" s="94">
        <f>SUM(D38:D40)</f>
        <v>21025.582633327038</v>
      </c>
      <c r="E37" s="94">
        <f>SUM(E38:E40)</f>
        <v>21626.016730720879</v>
      </c>
      <c r="F37" s="94">
        <f t="shared" ref="F37:G37" si="1">SUM(F38:F40)</f>
        <v>22265.209678363288</v>
      </c>
      <c r="G37" s="95">
        <f t="shared" si="1"/>
        <v>22968.872659565797</v>
      </c>
      <c r="H37" s="14"/>
    </row>
    <row r="38" spans="1:8" ht="19.5" customHeight="1" x14ac:dyDescent="0.2">
      <c r="A38" s="14"/>
      <c r="B38" s="113" t="s">
        <v>6</v>
      </c>
      <c r="C38" s="96">
        <v>10637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10444.918085106383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10252.836170212766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10039.594680851063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9826.3531914893611</v>
      </c>
      <c r="H38" s="14"/>
    </row>
    <row r="39" spans="1:8" ht="19.5" customHeight="1" x14ac:dyDescent="0.2">
      <c r="A39" s="14"/>
      <c r="B39" s="113" t="s">
        <v>104</v>
      </c>
      <c r="C39" s="96">
        <v>9652.58</v>
      </c>
      <c r="D39" s="97">
        <f>C39*((1-'Basis-Annahmen'!F$24)^(D36-C36))*((1+'Basis-Annahmen'!F$9)^(D36-C36))</f>
        <v>10385.770216367617</v>
      </c>
      <c r="E39" s="97">
        <f>((1-'Basis-Annahmen'!G$24)^5)*((1+'Basis-Annahmen'!G$9)^5)*'Nachfrage &amp; Erzeugung'!D39</f>
        <v>11174.652060608525</v>
      </c>
      <c r="F39" s="97">
        <f>((1-'Basis-Annahmen'!H$24)^5)*((1+'Basis-Annahmen'!H$9)^5)*'Nachfrage &amp; Erzeugung'!E39</f>
        <v>12023.455754765982</v>
      </c>
      <c r="G39" s="98">
        <f>((1-'Basis-Annahmen'!I$24)^5)*((1+'Basis-Annahmen'!I$9)^5)*'Nachfrage &amp; Erzeugung'!F39</f>
        <v>12936.732839889683</v>
      </c>
      <c r="H39" s="14"/>
    </row>
    <row r="40" spans="1:8" ht="19.5" customHeight="1" x14ac:dyDescent="0.2">
      <c r="A40" s="14"/>
      <c r="B40" s="113" t="s">
        <v>7</v>
      </c>
      <c r="C40" s="96">
        <v>192.47</v>
      </c>
      <c r="D40" s="97">
        <f>C40+(C40*'Basis-Annahmen'!F36)*((1-'Basis-Annahmen'!F24)^(D36-C36))</f>
        <v>194.89433185303648</v>
      </c>
      <c r="E40" s="97">
        <f>D40+(D40*'Basis-Annahmen'!G36)*((1-'Basis-Annahmen'!G24)^5)</f>
        <v>198.52849989958835</v>
      </c>
      <c r="F40" s="97">
        <f>E40+(E40*'Basis-Annahmen'!H36)*((1-'Basis-Annahmen'!H24)^5)</f>
        <v>202.15924274624376</v>
      </c>
      <c r="G40" s="98">
        <f>F40+(F40*'Basis-Annahmen'!I36)*((1-'Basis-Annahmen'!I24)^5)</f>
        <v>205.78662818675312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2.6539529017041201E-2</v>
      </c>
      <c r="E42" s="104">
        <f>(E37-$C$37)/$C$37</f>
        <v>5.585473736553459E-2</v>
      </c>
      <c r="F42" s="104">
        <f>(F37-$C$37)/$C$37</f>
        <v>8.7062282900267934E-2</v>
      </c>
      <c r="G42" s="105">
        <f>(G37-$C$37)/$C$37</f>
        <v>0.12141747190537043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10248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10234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0.19004221575416425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0.27849848513126058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6.2513293681430632E-2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7.8668408927126815E-2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2.0976320547926856E-2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0.22023749506945842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0.13925709432300293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9.806686565629559E-3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135000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15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13274.55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88497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0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0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